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45" yWindow="65521" windowWidth="10020" windowHeight="8805" activeTab="0"/>
  </bookViews>
  <sheets>
    <sheet name="data entry" sheetId="1" r:id="rId1"/>
    <sheet name="calculation" sheetId="2" r:id="rId2"/>
  </sheets>
  <definedNames>
    <definedName name="_xlnm.Print_Area" localSheetId="0">'data entry'!$A$1:$L$26</definedName>
    <definedName name="solver_cvg" localSheetId="1" hidden="1">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1</definedName>
    <definedName name="solver_val" localSheetId="1" hidden="1">0</definedName>
  </definedNames>
  <calcPr fullCalcOnLoad="1" iterate="1" iterateCount="1000" iterateDelta="1E-07"/>
</workbook>
</file>

<file path=xl/comments1.xml><?xml version="1.0" encoding="utf-8"?>
<comments xmlns="http://schemas.openxmlformats.org/spreadsheetml/2006/main">
  <authors>
    <author>Paul Riseborough</author>
    <author>Riseborough</author>
  </authors>
  <commentList>
    <comment ref="H12" authorId="0">
      <text>
        <r>
          <rPr>
            <b/>
            <sz val="8"/>
            <rFont val="Tahoma"/>
            <family val="0"/>
          </rPr>
          <t>Paul Riseborough:</t>
        </r>
        <r>
          <rPr>
            <sz val="8"/>
            <rFont val="Tahoma"/>
            <family val="0"/>
          </rPr>
          <t xml:space="preserve">
This system efficiency includes all system losses from battery, to ESC and motor up to the propeller shaft.
It is significantly lower than the motor efficiency alone as a lot of energy is lost as heat in the batteries.
The maximum power that can be extracted (ignoring thermal limits) corresponds to the maximum current for 50% efficiency. This is useful to know if high power for short bursts is required.</t>
        </r>
      </text>
    </comment>
    <comment ref="H8" authorId="0">
      <text>
        <r>
          <rPr>
            <b/>
            <sz val="8"/>
            <rFont val="Tahoma"/>
            <family val="0"/>
          </rPr>
          <t>Paul Riseborough:</t>
        </r>
        <r>
          <rPr>
            <sz val="8"/>
            <rFont val="Tahoma"/>
            <family val="0"/>
          </rPr>
          <t xml:space="preserve">
If this exceeds 10 degrees then parts of the blade are likely to be operating at a stalled condition which results in higher currents and lower thrust than predicted.
</t>
        </r>
      </text>
    </comment>
    <comment ref="H11" authorId="0">
      <text>
        <r>
          <rPr>
            <b/>
            <sz val="8"/>
            <rFont val="Tahoma"/>
            <family val="0"/>
          </rPr>
          <t>Paul Riseborough:</t>
        </r>
        <r>
          <rPr>
            <sz val="8"/>
            <rFont val="Tahoma"/>
            <family val="0"/>
          </rPr>
          <t xml:space="preserve">
=sqrt(Io*V/R)
Io = zero load current draw
V = zero load battery voltage, typically 1.25 * cell count
R = total system resistance = Rmotor + R wiring + Resc + Rbatt.
I derived this from standard DC motor equations, but would welcome someone out there verifying that it is correct.</t>
        </r>
      </text>
    </comment>
    <comment ref="H13" authorId="0">
      <text>
        <r>
          <rPr>
            <b/>
            <sz val="8"/>
            <rFont val="Tahoma"/>
            <family val="0"/>
          </rPr>
          <t>Paul Riseborough:
T</t>
        </r>
        <r>
          <rPr>
            <sz val="8"/>
            <rFont val="Tahoma"/>
            <family val="0"/>
          </rPr>
          <t xml:space="preserve">his number is usually much higher than the motor or  battery maximums. It should be used as a reference to determine how close you are to the area of diminishing returns if you're chasing high peak powers.
Current for maximum power = V/(2*R) + Io/2
where:
Io = no load current
R = total resistance of cells, wiring, ESC and motor
V = no load battery voltage
</t>
        </r>
      </text>
    </comment>
    <comment ref="B14" authorId="1">
      <text>
        <r>
          <rPr>
            <b/>
            <sz val="8"/>
            <rFont val="Tahoma"/>
            <family val="0"/>
          </rPr>
          <t>Riseborough:</t>
        </r>
        <r>
          <rPr>
            <sz val="8"/>
            <rFont val="Tahoma"/>
            <family val="0"/>
          </rPr>
          <t xml:space="preserve">
current draw measured with no load at typically 3/4 of the operating voltage.</t>
        </r>
      </text>
    </comment>
    <comment ref="B21" authorId="1">
      <text>
        <r>
          <rPr>
            <b/>
            <sz val="8"/>
            <rFont val="Tahoma"/>
            <family val="0"/>
          </rPr>
          <t>Riseborough:</t>
        </r>
        <r>
          <rPr>
            <sz val="8"/>
            <rFont val="Tahoma"/>
            <family val="0"/>
          </rPr>
          <t xml:space="preserve">
This value can vary anywhere between 0.9 and 2.0 depending on the make and type of propeller. APC eflight props are typically 1.11 and some slowfly props with large chord 'paddle style' blades can be over 2. This is the same parameter used by a number of commercial electric flight prediction packages such as motocalc,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B22" authorId="1">
      <text>
        <r>
          <rPr>
            <b/>
            <sz val="8"/>
            <rFont val="Tahoma"/>
            <family val="0"/>
          </rPr>
          <t>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List>
</comments>
</file>

<file path=xl/comments2.xml><?xml version="1.0" encoding="utf-8"?>
<comments xmlns="http://schemas.openxmlformats.org/spreadsheetml/2006/main">
  <authors>
    <author>Paul Riseborough</author>
  </authors>
  <commentList>
    <comment ref="A3" authorId="0">
      <text>
        <r>
          <rPr>
            <b/>
            <sz val="8"/>
            <rFont val="Tahoma"/>
            <family val="0"/>
          </rPr>
          <t>Paul Riseborough:</t>
        </r>
        <r>
          <rPr>
            <sz val="8"/>
            <rFont val="Tahoma"/>
            <family val="0"/>
          </rPr>
          <t xml:space="preserve">
The RPM is adjusted by the goalseek function until the difference between power available to and power absorbed by the prop is zero (cell A7)</t>
        </r>
      </text>
    </comment>
    <comment ref="C3" authorId="0">
      <text>
        <r>
          <rPr>
            <b/>
            <sz val="8"/>
            <rFont val="Tahoma"/>
            <family val="0"/>
          </rPr>
          <t>Paul Riseborough:</t>
        </r>
        <r>
          <rPr>
            <sz val="8"/>
            <rFont val="Tahoma"/>
            <family val="0"/>
          </rPr>
          <t xml:space="preserve">
This uses the empirical formulae by  Boucher for power absorbed by a static prop, with adjustment for the different inflow velocity away from the static condition. The Formula by Boucher is:
Power absorbed in Watts = Kp*pitch in feet*diameter in feet^4*RPM in thousands^3
Slim bladed props like the APC typically have a Kp of about 1.11 while a value of 1.31 is a better average for the Master Airscrew props and some of the big blade slow-fly props are closer to 1.5. High pitch props operating in a static partiallys talled condition can produce Kp's grater than 1.5, but this reduces as soon as the aircraft is flying and the blade unstalls
This Static power absorbed is scaled by the following to allow for the different inflow at the Propeller disc during forward flight and different atmospheric conditions.
scale factor =((pitch speed - inflow velocity)/(pitch speed - static inflow velocity))*(air density / standard sea level density)*((blade speed at 3/4 radius^2 + inflow velocity^2)/((blade speed at 3/4 radius^2 + static inflow velocity^2)</t>
        </r>
      </text>
    </comment>
    <comment ref="D3" authorId="0">
      <text>
        <r>
          <rPr>
            <b/>
            <sz val="8"/>
            <rFont val="Tahoma"/>
            <family val="0"/>
          </rPr>
          <t>Paul Riseborough:</t>
        </r>
        <r>
          <rPr>
            <sz val="8"/>
            <rFont val="Tahoma"/>
            <family val="0"/>
          </rPr>
          <t xml:space="preserve">
equal to rotational speed (rad/sec) multiplied by torque (N.m)</t>
        </r>
      </text>
    </comment>
    <comment ref="A7" authorId="0">
      <text>
        <r>
          <rPr>
            <b/>
            <sz val="8"/>
            <rFont val="Tahoma"/>
            <family val="0"/>
          </rPr>
          <t>Paul Riseborough:</t>
        </r>
        <r>
          <rPr>
            <sz val="8"/>
            <rFont val="Tahoma"/>
            <family val="0"/>
          </rPr>
          <t xml:space="preserve">
equal to the difference between the motor power multiplied by gearbox efficiency and the absorbed propeller power.
The Excel goalseek function is used to make this close to zero.</t>
        </r>
      </text>
    </comment>
    <comment ref="B7" authorId="0">
      <text>
        <r>
          <rPr>
            <b/>
            <sz val="8"/>
            <rFont val="Tahoma"/>
            <family val="0"/>
          </rPr>
          <t>Paul Riseborough:</t>
        </r>
        <r>
          <rPr>
            <sz val="8"/>
            <rFont val="Tahoma"/>
            <family val="0"/>
          </rPr>
          <t xml:space="preserve">
This is the total power system efficiency including losses from battery resistance,  wiring resistance, speed controller and motor resistance and gearbox efficiency. This is a lot lower than the motor manufacturer uses because a significant amount of power is dissipated by heat in the battery.
</t>
        </r>
      </text>
    </comment>
    <comment ref="C7" authorId="0">
      <text>
        <r>
          <rPr>
            <b/>
            <sz val="8"/>
            <rFont val="Tahoma"/>
            <family val="0"/>
          </rPr>
          <t>Paul Riseborough:</t>
        </r>
        <r>
          <rPr>
            <sz val="8"/>
            <rFont val="Tahoma"/>
            <family val="0"/>
          </rPr>
          <t xml:space="preserve">
This is the total power system heat energy that has to be dissipated. It is a good guide to the amount of forced air cooling htat needs to be provided.</t>
        </r>
      </text>
    </comment>
    <comment ref="E1" authorId="0">
      <text>
        <r>
          <rPr>
            <b/>
            <sz val="8"/>
            <rFont val="Tahoma"/>
            <family val="0"/>
          </rPr>
          <t>Paul Riseborough:</t>
        </r>
        <r>
          <rPr>
            <sz val="8"/>
            <rFont val="Tahoma"/>
            <family val="0"/>
          </rPr>
          <t xml:space="preserve">
Thrust values are taken from the momentum disc calculation of A15</t>
        </r>
      </text>
    </comment>
    <comment ref="J7" authorId="0">
      <text>
        <r>
          <rPr>
            <b/>
            <sz val="8"/>
            <rFont val="Tahoma"/>
            <family val="0"/>
          </rPr>
          <t>Paul Riseborough:</t>
        </r>
        <r>
          <rPr>
            <sz val="8"/>
            <rFont val="Tahoma"/>
            <family val="0"/>
          </rPr>
          <t xml:space="preserve">
This is the theoretical pitch speed of the propeller</t>
        </r>
      </text>
    </comment>
    <comment ref="A15" authorId="0">
      <text>
        <r>
          <rPr>
            <b/>
            <sz val="8"/>
            <rFont val="Tahoma"/>
            <family val="0"/>
          </rPr>
          <t>Paul Riseborough:</t>
        </r>
        <r>
          <rPr>
            <sz val="8"/>
            <rFont val="Tahoma"/>
            <family val="0"/>
          </rPr>
          <t xml:space="preserve">
Thrust from Froude momentum disc theory</t>
        </r>
      </text>
    </comment>
    <comment ref="A18" authorId="0">
      <text>
        <r>
          <rPr>
            <b/>
            <sz val="8"/>
            <rFont val="Tahoma"/>
            <family val="0"/>
          </rPr>
          <t>Paul Riseborough:</t>
        </r>
        <r>
          <rPr>
            <sz val="8"/>
            <rFont val="Tahoma"/>
            <family val="0"/>
          </rPr>
          <t xml:space="preserve">
This is the available power at the propeller shaft multiplied by the propeller efficiency</t>
        </r>
      </text>
    </comment>
    <comment ref="A21" authorId="0">
      <text>
        <r>
          <rPr>
            <b/>
            <sz val="8"/>
            <rFont val="Tahoma"/>
            <family val="0"/>
          </rPr>
          <t>Paul Riseborough:</t>
        </r>
        <r>
          <rPr>
            <sz val="8"/>
            <rFont val="Tahoma"/>
            <family val="0"/>
          </rPr>
          <t xml:space="preserve">
This is the evaluation of the following Cubic equation that has been derived from momentum disc theory and is solved for THRUST using the Excel goalseek function
THRUST^3 + 2*density*disc_area*power*flight_speed*THRUST - 2*air_density*disc_area*power^2</t>
        </r>
      </text>
    </comment>
    <comment ref="D15" authorId="0">
      <text>
        <r>
          <rPr>
            <b/>
            <sz val="8"/>
            <rFont val="Tahoma"/>
            <family val="0"/>
          </rPr>
          <t>Paul Riseborough:</t>
        </r>
        <r>
          <rPr>
            <sz val="8"/>
            <rFont val="Tahoma"/>
            <family val="0"/>
          </rPr>
          <t xml:space="preserve">
Inflow factor for prop at  flight speed. Obtained from Froude momentum disc theory
a = (power - thrust*velocity)/(thrust*velocity)
</t>
        </r>
      </text>
    </comment>
    <comment ref="D17" authorId="0">
      <text>
        <r>
          <rPr>
            <b/>
            <sz val="8"/>
            <rFont val="Tahoma"/>
            <family val="0"/>
          </rPr>
          <t>Paul Riseborough:</t>
        </r>
        <r>
          <rPr>
            <sz val="8"/>
            <rFont val="Tahoma"/>
            <family val="0"/>
          </rPr>
          <t xml:space="preserve">
Blade angle of attack measured at 3/4 blade radius. If this angle exceeds 10  degress then it can be assumed that parts of the blade will be stalled and the thrust and current draw predictions will be inaccurate. This is normally only the case for props at a static flight condition where the ratio of pitch/diameter is greater than about 2/3.</t>
        </r>
      </text>
    </comment>
    <comment ref="H15" authorId="0">
      <text>
        <r>
          <rPr>
            <b/>
            <sz val="8"/>
            <rFont val="Tahoma"/>
            <family val="0"/>
          </rPr>
          <t>Paul Riseborough:</t>
        </r>
        <r>
          <rPr>
            <sz val="8"/>
            <rFont val="Tahoma"/>
            <family val="0"/>
          </rPr>
          <t xml:space="preserve">
This is the power absorbed by a static prop at the same RPM</t>
        </r>
      </text>
    </comment>
    <comment ref="H16" authorId="0">
      <text>
        <r>
          <rPr>
            <b/>
            <sz val="8"/>
            <rFont val="Tahoma"/>
            <family val="0"/>
          </rPr>
          <t>Paul Riseborough:</t>
        </r>
        <r>
          <rPr>
            <sz val="8"/>
            <rFont val="Tahoma"/>
            <family val="0"/>
          </rPr>
          <t xml:space="preserve">
This is the thrust of a static prop at the same RPM</t>
        </r>
      </text>
    </comment>
    <comment ref="H17" authorId="0">
      <text>
        <r>
          <rPr>
            <b/>
            <sz val="8"/>
            <rFont val="Tahoma"/>
            <family val="0"/>
          </rPr>
          <t>Paul Riseborough:</t>
        </r>
        <r>
          <rPr>
            <sz val="8"/>
            <rFont val="Tahoma"/>
            <family val="0"/>
          </rPr>
          <t xml:space="preserve">
This is the inflow velocity of a static prop at the same RPM</t>
        </r>
      </text>
    </comment>
  </commentList>
</comments>
</file>

<file path=xl/sharedStrings.xml><?xml version="1.0" encoding="utf-8"?>
<sst xmlns="http://schemas.openxmlformats.org/spreadsheetml/2006/main" count="102" uniqueCount="94">
  <si>
    <t>RPM</t>
  </si>
  <si>
    <t>Torque</t>
  </si>
  <si>
    <t>Thrust</t>
  </si>
  <si>
    <t>Kv</t>
  </si>
  <si>
    <t>Ra</t>
  </si>
  <si>
    <t>Io</t>
  </si>
  <si>
    <t>Pitch</t>
  </si>
  <si>
    <t>Diam</t>
  </si>
  <si>
    <t>(W)</t>
  </si>
  <si>
    <t>(in)</t>
  </si>
  <si>
    <t>(A)</t>
  </si>
  <si>
    <t>(Ohm)</t>
  </si>
  <si>
    <t>Current</t>
  </si>
  <si>
    <t>Volts</t>
  </si>
  <si>
    <t>(RPM/V)</t>
  </si>
  <si>
    <t>(N)</t>
  </si>
  <si>
    <t>Kt</t>
  </si>
  <si>
    <t>(Nm/Amp)</t>
  </si>
  <si>
    <t>Absorbed Power</t>
  </si>
  <si>
    <t>Motor power</t>
  </si>
  <si>
    <t>power error</t>
  </si>
  <si>
    <t>prop efficiency</t>
  </si>
  <si>
    <t>Kp</t>
  </si>
  <si>
    <t>heat</t>
  </si>
  <si>
    <t>Gear reduction</t>
  </si>
  <si>
    <t>Gear efficiency</t>
  </si>
  <si>
    <t>speed</t>
  </si>
  <si>
    <t>(m/s)</t>
  </si>
  <si>
    <t>(g)</t>
  </si>
  <si>
    <t>(Amps)</t>
  </si>
  <si>
    <t>(N.m)</t>
  </si>
  <si>
    <t>(lb)</t>
  </si>
  <si>
    <t>dynamic thrust calc</t>
  </si>
  <si>
    <t>thrust (N)</t>
  </si>
  <si>
    <t>velocity (m/s)</t>
  </si>
  <si>
    <t>density (kg/m^3)</t>
  </si>
  <si>
    <t>power (W)</t>
  </si>
  <si>
    <t>objective</t>
  </si>
  <si>
    <t>disc area (m^2)</t>
  </si>
  <si>
    <t>prop diameter (m)</t>
  </si>
  <si>
    <t>number of cells</t>
  </si>
  <si>
    <t>inflow factor</t>
  </si>
  <si>
    <t>inflow velocity</t>
  </si>
  <si>
    <t>power absorbed by static prop</t>
  </si>
  <si>
    <t>inflow velocity of static prop</t>
  </si>
  <si>
    <t>thrust of static prop</t>
  </si>
  <si>
    <t>gearbox efficiency</t>
  </si>
  <si>
    <t>MOTOR PARAMETERS</t>
  </si>
  <si>
    <t>ESC PARAMETERS</t>
  </si>
  <si>
    <t>CELL PARAMETERS</t>
  </si>
  <si>
    <t>PROPELLER PARAMETERS</t>
  </si>
  <si>
    <t>motor Kv (RPM per Volt)</t>
  </si>
  <si>
    <t>motor Io (Amps)</t>
  </si>
  <si>
    <t>gearbox reduction ratio</t>
  </si>
  <si>
    <t>Efficiency (relative to ideal momentum disc)</t>
  </si>
  <si>
    <t>FLIGHT CONDITION</t>
  </si>
  <si>
    <t>airspeed (m/s) - must be non-zero</t>
  </si>
  <si>
    <t>RESULTS</t>
  </si>
  <si>
    <t>current draw (Amps)</t>
  </si>
  <si>
    <t>Pitch Speed (m/s)</t>
  </si>
  <si>
    <t>propeller RPM</t>
  </si>
  <si>
    <t>air density (kg/m^3)</t>
  </si>
  <si>
    <t>blade AoA @ .75 radius (deg)</t>
  </si>
  <si>
    <t>Blade AoA at 0.75 radius (deg)</t>
  </si>
  <si>
    <t>thrust (g)</t>
  </si>
  <si>
    <t>battery voltage per cell under load</t>
  </si>
  <si>
    <t>Cell voltage under load</t>
  </si>
  <si>
    <t>Motor RPM</t>
  </si>
  <si>
    <t>Current draw for best efficiency (Amps)</t>
  </si>
  <si>
    <t>power system efficiency</t>
  </si>
  <si>
    <t>flying prop conditions</t>
  </si>
  <si>
    <t>static prop conditions</t>
  </si>
  <si>
    <t>System Efficiency (excluding prop)</t>
  </si>
  <si>
    <t>Current draw for maximum power (Amps)</t>
  </si>
  <si>
    <t>Change parameters in yellow and press CTRL T to recalculate</t>
  </si>
  <si>
    <t>tip speed (m/s)</t>
  </si>
  <si>
    <t>motor heating (Watts)</t>
  </si>
  <si>
    <t>AXI 2820/10 with 9 CP1700SCR cells</t>
  </si>
  <si>
    <t>Originator:</t>
  </si>
  <si>
    <t>Last Modified:</t>
  </si>
  <si>
    <t>Modified By:</t>
  </si>
  <si>
    <t>Paul Riseborough</t>
  </si>
  <si>
    <t>Change Description:</t>
  </si>
  <si>
    <t>Added display for motor heating, blade pitch angle and blade tip speed</t>
  </si>
  <si>
    <t>blade pitch angle (deg)</t>
  </si>
  <si>
    <t>cell resistance (Ohms)</t>
  </si>
  <si>
    <t>cell voltage (Volts)</t>
  </si>
  <si>
    <t>wiring &amp; ESC resistance (Ohms)</t>
  </si>
  <si>
    <t>motor resistance (Ohms)</t>
  </si>
  <si>
    <t>Diameter (inches)</t>
  </si>
  <si>
    <t>Pitch (inches)</t>
  </si>
  <si>
    <t>The author gives permission for this calculator to be freely used and distributed in its original form provided the use is not-for-profit</t>
  </si>
  <si>
    <t>If you wish to make a modification for your own use, feel free to do so. If you wish to distribute the modification - ask for permission (paul.riseborough@baesystems.com)</t>
  </si>
  <si>
    <t>This permission to use and distribute does NOT extend to distribution or use for any commercial or for-profit purposes.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</si>
</sst>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 numFmtId="167" formatCode="0.00000"/>
  </numFmts>
  <fonts count="9">
    <font>
      <sz val="10"/>
      <name val="Arial"/>
      <family val="0"/>
    </font>
    <font>
      <b/>
      <sz val="12"/>
      <color indexed="10"/>
      <name val="Arial"/>
      <family val="2"/>
    </font>
    <font>
      <sz val="8"/>
      <name val="Tahoma"/>
      <family val="0"/>
    </font>
    <font>
      <b/>
      <sz val="8"/>
      <name val="Tahoma"/>
      <family val="0"/>
    </font>
    <font>
      <u val="single"/>
      <sz val="10"/>
      <color indexed="12"/>
      <name val="Arial"/>
      <family val="0"/>
    </font>
    <font>
      <u val="single"/>
      <sz val="10"/>
      <color indexed="36"/>
      <name val="Arial"/>
      <family val="0"/>
    </font>
    <font>
      <sz val="8"/>
      <name val="Arial"/>
      <family val="0"/>
    </font>
    <font>
      <b/>
      <sz val="10"/>
      <color indexed="10"/>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2" borderId="0" xfId="0" applyFill="1" applyAlignment="1">
      <alignment/>
    </xf>
    <xf numFmtId="0" fontId="0" fillId="3" borderId="0" xfId="0" applyFill="1" applyAlignment="1">
      <alignment/>
    </xf>
    <xf numFmtId="0" fontId="0" fillId="0" borderId="0" xfId="0" applyFill="1" applyAlignment="1">
      <alignment/>
    </xf>
    <xf numFmtId="2" fontId="0" fillId="4" borderId="0" xfId="0" applyNumberFormat="1" applyFill="1" applyAlignment="1">
      <alignment/>
    </xf>
    <xf numFmtId="165" fontId="0" fillId="4" borderId="0" xfId="0" applyNumberFormat="1" applyFill="1" applyAlignment="1">
      <alignment/>
    </xf>
    <xf numFmtId="1" fontId="0" fillId="4" borderId="0" xfId="0" applyNumberFormat="1" applyFill="1" applyAlignment="1">
      <alignment/>
    </xf>
    <xf numFmtId="0" fontId="1" fillId="0" borderId="0" xfId="0" applyFont="1" applyAlignment="1">
      <alignment/>
    </xf>
    <xf numFmtId="2" fontId="0" fillId="5" borderId="0" xfId="0" applyNumberFormat="1" applyFill="1" applyAlignment="1">
      <alignment/>
    </xf>
    <xf numFmtId="1" fontId="0" fillId="5" borderId="0" xfId="0" applyNumberFormat="1" applyFill="1" applyAlignment="1">
      <alignment/>
    </xf>
    <xf numFmtId="0" fontId="0" fillId="0" borderId="0" xfId="0" applyAlignment="1" applyProtection="1">
      <alignment/>
      <protection hidden="1"/>
    </xf>
    <xf numFmtId="2" fontId="0" fillId="5" borderId="0" xfId="0" applyNumberFormat="1" applyFill="1" applyAlignment="1" applyProtection="1">
      <alignment/>
      <protection hidden="1"/>
    </xf>
    <xf numFmtId="165" fontId="0" fillId="5" borderId="0" xfId="0" applyNumberFormat="1" applyFill="1" applyAlignment="1">
      <alignment/>
    </xf>
    <xf numFmtId="0" fontId="0" fillId="0" borderId="0" xfId="0" applyAlignment="1" quotePrefix="1">
      <alignment/>
    </xf>
    <xf numFmtId="15" fontId="0" fillId="0" borderId="0" xfId="0" applyNumberFormat="1" applyAlignment="1">
      <alignment horizontal="left"/>
    </xf>
    <xf numFmtId="0" fontId="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2"/>
  <dimension ref="A1:J30"/>
  <sheetViews>
    <sheetView tabSelected="1" workbookViewId="0" topLeftCell="A1">
      <selection activeCell="F8" sqref="F8"/>
    </sheetView>
  </sheetViews>
  <sheetFormatPr defaultColWidth="9.140625" defaultRowHeight="12.75"/>
  <sheetData>
    <row r="1" ht="12.75">
      <c r="A1" t="s">
        <v>77</v>
      </c>
    </row>
    <row r="3" spans="1:8" ht="12.75">
      <c r="A3" t="s">
        <v>49</v>
      </c>
      <c r="H3" t="s">
        <v>57</v>
      </c>
    </row>
    <row r="4" spans="1:9" ht="12.75">
      <c r="A4" s="1">
        <v>9</v>
      </c>
      <c r="B4" t="s">
        <v>40</v>
      </c>
      <c r="H4" s="4">
        <f>calculation!N3</f>
        <v>37.19633947065319</v>
      </c>
      <c r="I4" t="s">
        <v>58</v>
      </c>
    </row>
    <row r="5" spans="1:9" ht="12.75">
      <c r="A5" s="1">
        <v>1.25</v>
      </c>
      <c r="B5" t="s">
        <v>86</v>
      </c>
      <c r="H5" s="5">
        <f>calculation!E3/9.807*1000</f>
        <v>1731.202470765155</v>
      </c>
      <c r="I5" t="s">
        <v>64</v>
      </c>
    </row>
    <row r="6" spans="1:9" ht="12.75">
      <c r="A6" s="1">
        <v>0.0047</v>
      </c>
      <c r="B6" t="s">
        <v>85</v>
      </c>
      <c r="H6" s="6">
        <f>calculation!A3</f>
        <v>8230.211892785113</v>
      </c>
      <c r="I6" t="s">
        <v>60</v>
      </c>
    </row>
    <row r="7" spans="8:9" ht="12.75">
      <c r="H7" s="5">
        <f>calculation!J7</f>
        <v>20.90473820767419</v>
      </c>
      <c r="I7" t="s">
        <v>59</v>
      </c>
    </row>
    <row r="8" spans="1:9" ht="12.75">
      <c r="A8" t="s">
        <v>48</v>
      </c>
      <c r="H8" s="5">
        <f>calculation!D17</f>
        <v>6.3022582870556985</v>
      </c>
      <c r="I8" t="s">
        <v>63</v>
      </c>
    </row>
    <row r="9" spans="1:9" ht="12.75">
      <c r="A9" s="1">
        <v>0.017</v>
      </c>
      <c r="B9" t="s">
        <v>87</v>
      </c>
      <c r="H9" s="4">
        <f>calculation!A24</f>
        <v>1.07517720448793</v>
      </c>
      <c r="I9" t="s">
        <v>66</v>
      </c>
    </row>
    <row r="10" spans="8:9" ht="12.75">
      <c r="H10" s="9">
        <f>H6*A15</f>
        <v>8230.211892785113</v>
      </c>
      <c r="I10" t="s">
        <v>67</v>
      </c>
    </row>
    <row r="11" spans="1:9" ht="12.75">
      <c r="A11" t="s">
        <v>47</v>
      </c>
      <c r="H11" s="8">
        <f>SQRT(A14*A4*A5/(A4*A6+A9+A12))</f>
        <v>18.252912247861552</v>
      </c>
      <c r="I11" t="s">
        <v>68</v>
      </c>
    </row>
    <row r="12" spans="1:9" ht="12.75">
      <c r="A12" s="1">
        <v>0.042</v>
      </c>
      <c r="B12" t="s">
        <v>88</v>
      </c>
      <c r="H12" s="8">
        <f>calculation!B7</f>
        <v>0.6114278633710195</v>
      </c>
      <c r="I12" t="s">
        <v>72</v>
      </c>
    </row>
    <row r="13" spans="1:9" ht="12.75">
      <c r="A13" s="1">
        <v>1100</v>
      </c>
      <c r="B13" t="s">
        <v>51</v>
      </c>
      <c r="H13" s="8">
        <f>(A4*A5)/(2*(A4*A6+A9+A12))+A14/2</f>
        <v>57.02813425468904</v>
      </c>
      <c r="I13" t="s">
        <v>73</v>
      </c>
    </row>
    <row r="14" spans="1:9" ht="12.75">
      <c r="A14" s="1">
        <v>3</v>
      </c>
      <c r="B14" t="s">
        <v>52</v>
      </c>
      <c r="H14" s="11">
        <f>H4*H4*A12</f>
        <v>58.109842140675056</v>
      </c>
      <c r="I14" s="10" t="s">
        <v>76</v>
      </c>
    </row>
    <row r="15" spans="1:9" ht="12.75">
      <c r="A15" s="1">
        <v>1</v>
      </c>
      <c r="B15" t="s">
        <v>53</v>
      </c>
      <c r="H15" s="12">
        <f>57.2958*ATAN((A20*0.0254)/((A19*0.0254)*3.142))</f>
        <v>9.041911288815173</v>
      </c>
      <c r="I15" t="s">
        <v>84</v>
      </c>
    </row>
    <row r="16" spans="1:9" ht="12.75">
      <c r="A16" s="1">
        <v>1</v>
      </c>
      <c r="B16" t="s">
        <v>46</v>
      </c>
      <c r="H16" s="9">
        <f>(A19*0.0254)*3.142*H6/60</f>
        <v>131.36537489702457</v>
      </c>
      <c r="I16" t="s">
        <v>75</v>
      </c>
    </row>
    <row r="18" spans="1:8" ht="15.75">
      <c r="A18" t="s">
        <v>50</v>
      </c>
      <c r="H18" s="7" t="s">
        <v>74</v>
      </c>
    </row>
    <row r="19" spans="1:2" ht="12.75">
      <c r="A19" s="1">
        <v>12</v>
      </c>
      <c r="B19" t="s">
        <v>89</v>
      </c>
    </row>
    <row r="20" spans="1:10" ht="12.75">
      <c r="A20" s="1">
        <v>6</v>
      </c>
      <c r="B20" t="s">
        <v>90</v>
      </c>
      <c r="H20" s="13" t="s">
        <v>78</v>
      </c>
      <c r="J20" t="s">
        <v>81</v>
      </c>
    </row>
    <row r="21" spans="1:10" ht="12.75">
      <c r="A21" s="1">
        <v>0.92</v>
      </c>
      <c r="B21" t="s">
        <v>22</v>
      </c>
      <c r="H21" t="s">
        <v>79</v>
      </c>
      <c r="J21" s="14">
        <v>38903</v>
      </c>
    </row>
    <row r="22" spans="1:10" ht="12.75">
      <c r="A22" s="1">
        <v>0.65</v>
      </c>
      <c r="B22" t="s">
        <v>54</v>
      </c>
      <c r="H22" t="s">
        <v>80</v>
      </c>
      <c r="J22" t="s">
        <v>81</v>
      </c>
    </row>
    <row r="23" spans="8:10" ht="12.75">
      <c r="H23" t="s">
        <v>82</v>
      </c>
      <c r="J23" t="s">
        <v>83</v>
      </c>
    </row>
    <row r="24" ht="12.75">
      <c r="A24" t="s">
        <v>55</v>
      </c>
    </row>
    <row r="25" spans="1:2" ht="12.75">
      <c r="A25" s="1">
        <v>0.1</v>
      </c>
      <c r="B25" t="s">
        <v>56</v>
      </c>
    </row>
    <row r="26" spans="1:2" ht="12.75">
      <c r="A26" s="1">
        <v>1.225</v>
      </c>
      <c r="B26" t="s">
        <v>61</v>
      </c>
    </row>
    <row r="28" ht="12.75">
      <c r="A28" s="15" t="s">
        <v>91</v>
      </c>
    </row>
    <row r="29" ht="12.75">
      <c r="A29" t="s">
        <v>92</v>
      </c>
    </row>
    <row r="30" ht="12.75">
      <c r="A30" s="15" t="s">
        <v>93</v>
      </c>
    </row>
  </sheetData>
  <sheetProtection/>
  <printOptions horizontalCentered="1" verticalCentered="1"/>
  <pageMargins left="0.35433070866141736" right="0.35433070866141736" top="0.984251968503937" bottom="0.98425196850393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Sheet1"/>
  <dimension ref="A1:N24"/>
  <sheetViews>
    <sheetView workbookViewId="0" topLeftCell="A1">
      <selection activeCell="A4" sqref="A4"/>
    </sheetView>
  </sheetViews>
  <sheetFormatPr defaultColWidth="9.140625" defaultRowHeight="12.75"/>
  <cols>
    <col min="1" max="1" width="12.421875" style="0" bestFit="1" customWidth="1"/>
  </cols>
  <sheetData>
    <row r="1" spans="1:14" ht="12.75">
      <c r="A1" t="s">
        <v>0</v>
      </c>
      <c r="B1" t="s">
        <v>1</v>
      </c>
      <c r="C1" t="s">
        <v>18</v>
      </c>
      <c r="D1" t="s">
        <v>19</v>
      </c>
      <c r="E1" t="s">
        <v>2</v>
      </c>
      <c r="F1" t="s">
        <v>22</v>
      </c>
      <c r="G1" t="s">
        <v>3</v>
      </c>
      <c r="H1" t="s">
        <v>16</v>
      </c>
      <c r="I1" t="s">
        <v>4</v>
      </c>
      <c r="J1" t="s">
        <v>5</v>
      </c>
      <c r="K1" t="s">
        <v>6</v>
      </c>
      <c r="L1" t="s">
        <v>7</v>
      </c>
      <c r="M1" t="s">
        <v>13</v>
      </c>
      <c r="N1" t="s">
        <v>12</v>
      </c>
    </row>
    <row r="2" spans="2:14" ht="12.75">
      <c r="B2" t="s">
        <v>30</v>
      </c>
      <c r="C2" t="s">
        <v>8</v>
      </c>
      <c r="D2" t="s">
        <v>8</v>
      </c>
      <c r="E2" t="s">
        <v>15</v>
      </c>
      <c r="G2" t="s">
        <v>14</v>
      </c>
      <c r="H2" t="s">
        <v>17</v>
      </c>
      <c r="I2" t="s">
        <v>11</v>
      </c>
      <c r="J2" t="s">
        <v>10</v>
      </c>
      <c r="K2" t="s">
        <v>9</v>
      </c>
      <c r="L2" t="s">
        <v>9</v>
      </c>
      <c r="N2" t="s">
        <v>29</v>
      </c>
    </row>
    <row r="3" spans="1:14" ht="12.75">
      <c r="A3">
        <v>8230.211892785113</v>
      </c>
      <c r="B3">
        <f>H3*(N3-J3)</f>
        <v>0.29686478506384456</v>
      </c>
      <c r="C3">
        <f>F3*K3/12*(L3/12)^4*(A3/1000)^3*((J7-D16)/(J7-H17))*(A17/1.225)*((A3/60*2*3.14159*0.75*A20/2)^2+(D16)^2)/((A3/60*2*3.14159*0.75*A20/2)^2+(H17)^2)</f>
        <v>255.85738163737</v>
      </c>
      <c r="D3">
        <f>A3*G7/60*2*3.14159*B3</f>
        <v>255.85738163735175</v>
      </c>
      <c r="E3" s="1">
        <f>A15</f>
        <v>16.977902630793878</v>
      </c>
      <c r="F3" s="2">
        <f>'data entry'!A21</f>
        <v>0.92</v>
      </c>
      <c r="G3" s="2">
        <f>'data entry'!A13</f>
        <v>1100</v>
      </c>
      <c r="H3">
        <f>1/(G3/60*2*3.14159)</f>
        <v>0.008681186046787541</v>
      </c>
      <c r="I3" s="2">
        <f>'data entry'!A12+'data entry'!A4*'data entry'!A6+'data entry'!A9</f>
        <v>0.10130000000000002</v>
      </c>
      <c r="J3" s="2">
        <f>'data entry'!A14</f>
        <v>3</v>
      </c>
      <c r="K3" s="2">
        <f>'data entry'!A20</f>
        <v>6</v>
      </c>
      <c r="L3" s="2">
        <f>'data entry'!A19</f>
        <v>12</v>
      </c>
      <c r="M3">
        <f>'data entry'!A4*'data entry'!A5</f>
        <v>11.25</v>
      </c>
      <c r="N3" s="1">
        <f>(M3-H3*(A3*G7/60*2*3.14159))/(I3)</f>
        <v>37.19633947065319</v>
      </c>
    </row>
    <row r="5" spans="1:10" ht="12.75">
      <c r="A5" t="s">
        <v>20</v>
      </c>
      <c r="B5" t="s">
        <v>69</v>
      </c>
      <c r="C5" t="s">
        <v>23</v>
      </c>
      <c r="E5" t="s">
        <v>2</v>
      </c>
      <c r="G5" t="s">
        <v>24</v>
      </c>
      <c r="H5" t="s">
        <v>25</v>
      </c>
      <c r="J5" t="s">
        <v>26</v>
      </c>
    </row>
    <row r="6" spans="1:10" ht="12.75">
      <c r="A6" t="s">
        <v>8</v>
      </c>
      <c r="C6" t="s">
        <v>8</v>
      </c>
      <c r="E6" t="s">
        <v>28</v>
      </c>
      <c r="J6" t="s">
        <v>27</v>
      </c>
    </row>
    <row r="7" spans="1:10" ht="12.75">
      <c r="A7">
        <f>D3*H7-C3</f>
        <v>-1.8246737454319373E-11</v>
      </c>
      <c r="B7">
        <f>D3/(M3*N3)*H7</f>
        <v>0.6114278633710195</v>
      </c>
      <c r="C7">
        <f>(M3*N3)-D3*H7</f>
        <v>162.6014374074967</v>
      </c>
      <c r="E7" s="1">
        <f>E3/9.807*1000</f>
        <v>1731.202470765155</v>
      </c>
      <c r="G7" s="2">
        <f>'data entry'!A15</f>
        <v>1</v>
      </c>
      <c r="H7" s="2">
        <f>'data entry'!A16</f>
        <v>1</v>
      </c>
      <c r="J7">
        <f>A3/60*K3/12*0.3048</f>
        <v>20.90473820767419</v>
      </c>
    </row>
    <row r="9" ht="12.75">
      <c r="E9" t="s">
        <v>2</v>
      </c>
    </row>
    <row r="10" ht="12.75">
      <c r="E10" t="s">
        <v>31</v>
      </c>
    </row>
    <row r="11" ht="12.75">
      <c r="E11" s="1">
        <f>E3/9.807*2.2</f>
        <v>3.8086454356833417</v>
      </c>
    </row>
    <row r="13" ht="12.75">
      <c r="A13" t="s">
        <v>32</v>
      </c>
    </row>
    <row r="14" spans="4:8" ht="12.75">
      <c r="D14" t="s">
        <v>70</v>
      </c>
      <c r="H14" t="s">
        <v>71</v>
      </c>
    </row>
    <row r="15" spans="1:9" ht="12.75">
      <c r="A15">
        <v>16.977902630793878</v>
      </c>
      <c r="B15" t="s">
        <v>33</v>
      </c>
      <c r="D15">
        <f>(A18-A15*A16)/(A15*A16)</f>
        <v>96.95514892554323</v>
      </c>
      <c r="E15" t="s">
        <v>41</v>
      </c>
      <c r="H15">
        <f>F3*K3/12*(L3/12)^4*(A3/1000)^3*(A17/1.225)</f>
        <v>256.4430192456335</v>
      </c>
      <c r="I15" t="s">
        <v>43</v>
      </c>
    </row>
    <row r="16" spans="1:9" ht="12.75">
      <c r="A16" s="2">
        <f>'data entry'!A25</f>
        <v>0.1</v>
      </c>
      <c r="B16" t="s">
        <v>34</v>
      </c>
      <c r="D16">
        <f>A16*(1+D15)</f>
        <v>9.795514892554323</v>
      </c>
      <c r="E16" t="s">
        <v>42</v>
      </c>
      <c r="H16">
        <f>((H15*A22)^2*2*1.225*(L3/12*0.3048)^2*3.14159/4)^(1/3)</f>
        <v>17.062054838050848</v>
      </c>
      <c r="I16" t="s">
        <v>45</v>
      </c>
    </row>
    <row r="17" spans="1:9" ht="12.75">
      <c r="A17" s="2">
        <f>'data entry'!A26</f>
        <v>1.225</v>
      </c>
      <c r="B17" t="s">
        <v>35</v>
      </c>
      <c r="D17">
        <f>(ATAN((K3*0.0254)/(3.14159*0.75*L3*0.0254))-ATAN(D16/(L3/2*0.0254*0.75*(2*3.141592657)*(A3/60))))*57.2958</f>
        <v>6.3022582870556985</v>
      </c>
      <c r="E17" t="s">
        <v>62</v>
      </c>
      <c r="H17">
        <f>SQRT(H16/(2*1.225*A19))</f>
        <v>9.76950863208981</v>
      </c>
      <c r="I17" t="s">
        <v>44</v>
      </c>
    </row>
    <row r="18" spans="1:2" ht="12.75">
      <c r="A18">
        <f>D3*H7*A22</f>
        <v>166.30729806427865</v>
      </c>
      <c r="B18" t="s">
        <v>36</v>
      </c>
    </row>
    <row r="19" spans="1:2" ht="12.75">
      <c r="A19">
        <f>3.141592657/4*A20^2</f>
        <v>0.0729658770692443</v>
      </c>
      <c r="B19" t="s">
        <v>38</v>
      </c>
    </row>
    <row r="20" spans="1:2" ht="12.75">
      <c r="A20">
        <f>L3*0.0254</f>
        <v>0.30479999999999996</v>
      </c>
      <c r="B20" t="s">
        <v>39</v>
      </c>
    </row>
    <row r="21" spans="1:2" ht="12.75">
      <c r="A21">
        <f>A15^3+2*A17*A19*A18*A16*A15-2*A17*A19*A18^2</f>
        <v>-6.516802386613563E-08</v>
      </c>
      <c r="B21" t="s">
        <v>37</v>
      </c>
    </row>
    <row r="22" spans="1:2" ht="12.75">
      <c r="A22" s="2">
        <f>'data entry'!A22</f>
        <v>0.65</v>
      </c>
      <c r="B22" t="s">
        <v>21</v>
      </c>
    </row>
    <row r="23" ht="12.75">
      <c r="A23" s="3"/>
    </row>
    <row r="24" spans="1:2" ht="12.75">
      <c r="A24">
        <f>'data entry'!A5-N3*'data entry'!A6</f>
        <v>1.07517720448793</v>
      </c>
      <c r="B24" t="s">
        <v>65</v>
      </c>
    </row>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EFlight thrust calculator</dc:title>
  <dc:subject/>
  <dc:creator>Paul Riseborough</dc:creator>
  <cp:keywords/>
  <dc:description>Estimates the thrust and current draw of model aircraft electric propulsion systems.
Not for commercial use
Can be freely distributed in original form</dc:description>
  <cp:lastModifiedBy>Paul Riseborough</cp:lastModifiedBy>
  <cp:lastPrinted>2003-03-16T08:37:49Z</cp:lastPrinted>
  <dcterms:created xsi:type="dcterms:W3CDTF">2001-11-27T01:54:56Z</dcterms:created>
  <dcterms:modified xsi:type="dcterms:W3CDTF">2006-07-04T23:54:22Z</dcterms:modified>
  <cp:category/>
  <cp:version/>
  <cp:contentType/>
  <cp:contentStatus/>
</cp:coreProperties>
</file>